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30" windowWidth="14355" windowHeight="6210"/>
  </bookViews>
  <sheets>
    <sheet name="Sheet1" sheetId="1" r:id="rId1"/>
    <sheet name="Sheet2" sheetId="2" r:id="rId2"/>
    <sheet name="Sheet3" sheetId="3" r:id="rId3"/>
  </sheets>
  <definedNames>
    <definedName name="d1_">Sheet1!$J$14</definedName>
    <definedName name="d2_">Sheet1!$J$15</definedName>
    <definedName name="F">Sheet1!$J$13</definedName>
    <definedName name="k">Sheet1!$E$13</definedName>
    <definedName name="N__d1">Sheet1!$J$18</definedName>
    <definedName name="N__d2">Sheet1!$J$19</definedName>
    <definedName name="Nd1_">Sheet1!$J$16</definedName>
    <definedName name="Nd2_">Sheet1!$J$17</definedName>
    <definedName name="Pd1_">Sheet1!$J$20</definedName>
    <definedName name="Pd2_">Sheet1!$J$28</definedName>
    <definedName name="_xlnm.Print_Area" localSheetId="0">Sheet1!$B$1:$G$49</definedName>
    <definedName name="q">Sheet1!$J$11</definedName>
    <definedName name="rr">Sheet1!$J$12</definedName>
    <definedName name="s">Sheet1!$E$14</definedName>
    <definedName name="t">Sheet1!$J$8</definedName>
    <definedName name="u">Sheet1!$J$10</definedName>
    <definedName name="v">Sheet1!$E$17</definedName>
  </definedNames>
  <calcPr calcId="144525"/>
</workbook>
</file>

<file path=xl/calcChain.xml><?xml version="1.0" encoding="utf-8"?>
<calcChain xmlns="http://schemas.openxmlformats.org/spreadsheetml/2006/main">
  <c r="C16" i="1" l="1"/>
  <c r="G15" i="1" l="1"/>
  <c r="G21" i="1" l="1"/>
  <c r="C21" i="1"/>
  <c r="G22" i="1"/>
  <c r="G19" i="1"/>
  <c r="G18" i="1"/>
  <c r="J9" i="1"/>
  <c r="J10" i="1" s="1"/>
  <c r="J7" i="1"/>
  <c r="J8" i="1" s="1"/>
  <c r="C22" i="1"/>
  <c r="C19" i="1"/>
  <c r="C18" i="1"/>
  <c r="C20" i="1"/>
  <c r="C23" i="1"/>
  <c r="C27" i="1" l="1"/>
  <c r="C29" i="1"/>
  <c r="C26" i="1"/>
  <c r="C24" i="1"/>
  <c r="E23" i="1"/>
  <c r="E20" i="1"/>
  <c r="E29" i="1" l="1"/>
  <c r="J12" i="1" s="1"/>
  <c r="E26" i="1"/>
  <c r="J11" i="1" s="1"/>
  <c r="J13" i="1" l="1"/>
  <c r="E15" i="1"/>
  <c r="J15" i="1" l="1"/>
  <c r="J17" i="1" s="1"/>
  <c r="J14" i="1"/>
  <c r="J20" i="1" s="1"/>
  <c r="J16" i="1" l="1"/>
  <c r="D46" i="1" s="1"/>
  <c r="D47" i="1" s="1"/>
  <c r="D44" i="1"/>
  <c r="D45" i="1" s="1"/>
  <c r="D35" i="1"/>
  <c r="D36" i="1"/>
  <c r="D38" i="1"/>
  <c r="E38" i="1"/>
  <c r="D40" i="1"/>
  <c r="D41" i="1" s="1"/>
  <c r="J19" i="1"/>
  <c r="D42" i="1" l="1"/>
  <c r="D43" i="1" s="1"/>
  <c r="D37" i="1"/>
  <c r="E44" i="1"/>
  <c r="E45" i="1" s="1"/>
  <c r="E39" i="1"/>
  <c r="D39" i="1"/>
  <c r="D32" i="1"/>
  <c r="D33" i="1" s="1"/>
  <c r="E36" i="1"/>
  <c r="J18" i="1"/>
  <c r="E37" i="1" l="1"/>
  <c r="E46" i="1"/>
  <c r="E47" i="1" s="1"/>
  <c r="E42" i="1"/>
  <c r="E43" i="1" s="1"/>
  <c r="E35" i="1"/>
  <c r="E40" i="1"/>
  <c r="E41" i="1" s="1"/>
  <c r="E32" i="1"/>
  <c r="E33" i="1" s="1"/>
</calcChain>
</file>

<file path=xl/sharedStrings.xml><?xml version="1.0" encoding="utf-8"?>
<sst xmlns="http://schemas.openxmlformats.org/spreadsheetml/2006/main" count="54" uniqueCount="51">
  <si>
    <t>Input data:</t>
  </si>
  <si>
    <t>e.g. enter "6.375%" as "6.375"</t>
  </si>
  <si>
    <t>Results:</t>
  </si>
  <si>
    <t>www.markets-international.com                                             Copyright:  Markets International Ltd</t>
  </si>
  <si>
    <t xml:space="preserve">Markets International Ltd gives no warranty of any kind as to the accuracy, usefulness or safety of this spreadsheet.
All copyright belongs to Markets International Ltd. and usage is strictly limited to your personal use only
You may not distribute or publish any part of the spreadsheet in any way.
Anyone using this spreadsheet agrees to these terms and conditions by so doing.
</t>
  </si>
  <si>
    <t>Strike</t>
  </si>
  <si>
    <t>Current spot price</t>
  </si>
  <si>
    <t>Volatility</t>
  </si>
  <si>
    <t>N(-d1)</t>
  </si>
  <si>
    <t>N(-d2)</t>
  </si>
  <si>
    <t>d1</t>
  </si>
  <si>
    <t>d2</t>
  </si>
  <si>
    <t>What are a European option's put and call premium values and Greeks, using the Black &amp; Scholes model?</t>
  </si>
  <si>
    <t>Choices for input:</t>
  </si>
  <si>
    <t>Input specific dates or numbers of days?</t>
  </si>
  <si>
    <t>Input continuously compounded interest rates or 'normal' quoted rates for the period?</t>
  </si>
  <si>
    <t>Year basis for a 'normal' quoted interest rate in the base currency (usually 360 or 365)</t>
  </si>
  <si>
    <t>Vega</t>
  </si>
  <si>
    <t>Spot delta</t>
  </si>
  <si>
    <t>Gamma</t>
  </si>
  <si>
    <t>Forward delta</t>
  </si>
  <si>
    <t>Phi (= base currency rho)</t>
  </si>
  <si>
    <t xml:space="preserve">    theta per day</t>
  </si>
  <si>
    <t xml:space="preserve">    phi for a 1% change in the base currency interest rate</t>
  </si>
  <si>
    <t>Year basis for a 'normal' quoted interest rate in the counter currency (usually 360 or 365)</t>
  </si>
  <si>
    <t xml:space="preserve">    rho for a 1% change in the counter currency interest rate</t>
  </si>
  <si>
    <t>Rho (= counter currency rho)</t>
  </si>
  <si>
    <t>Call</t>
  </si>
  <si>
    <t>Put</t>
  </si>
  <si>
    <t>Theta (assuming spot is unchanged)</t>
  </si>
  <si>
    <t>Theta (assuming forward outright is unchanged)</t>
  </si>
  <si>
    <t>Nd1</t>
  </si>
  <si>
    <t>Nd2</t>
  </si>
  <si>
    <t>Pd1</t>
  </si>
  <si>
    <t>f = forward outright</t>
  </si>
  <si>
    <t>u = days/365</t>
  </si>
  <si>
    <t>t = days/365</t>
  </si>
  <si>
    <t xml:space="preserve">    vega for a 1% change in volatility</t>
  </si>
  <si>
    <t xml:space="preserve">    premium as a percentage of the base currency amount</t>
  </si>
  <si>
    <t>Premium expressed in units of the counter currency</t>
  </si>
  <si>
    <t>Input forward outright or let the spreadsheet calculate it theoretically from the interest rates?</t>
  </si>
  <si>
    <t>q = base currency rate (cont comp)</t>
  </si>
  <si>
    <t>r = counter currency rate (cont comp)</t>
  </si>
  <si>
    <t>Days until expiry</t>
  </si>
  <si>
    <t>Days from spot to fwd value date</t>
  </si>
  <si>
    <r>
      <t xml:space="preserve">(Do </t>
    </r>
    <r>
      <rPr>
        <b/>
        <sz val="11"/>
        <color theme="1"/>
        <rFont val="Calibri"/>
        <family val="2"/>
        <scheme val="minor"/>
      </rPr>
      <t>not</t>
    </r>
    <r>
      <rPr>
        <sz val="11"/>
        <color theme="1"/>
        <rFont val="Calibri"/>
        <family val="2"/>
        <scheme val="minor"/>
      </rPr>
      <t xml:space="preserve"> delete this part of the spreadsheet!)</t>
    </r>
  </si>
  <si>
    <t xml:space="preserve">    Forward outright calculated using the spot above and the interest rates below</t>
  </si>
  <si>
    <t>Black &amp; Scholes option values and Greeks for FX</t>
  </si>
  <si>
    <t>DAYS</t>
  </si>
  <si>
    <t>INPUT</t>
  </si>
  <si>
    <t>NORMAL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</si>
</sst>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64" formatCode="0.000%"/>
    <numFmt numFmtId="165" formatCode="[$-F800]dddd\,\ mmmm\ dd\,\ yyyy"/>
    <numFmt numFmtId="166" formatCode="0.000000"/>
  </numFmts>
  <fonts count="17" x14ac:knownFonts="1">
    <font>
      <sz val="11"/>
      <color theme="1"/>
      <name val="Calibri"/>
      <family val="2"/>
      <scheme val="minor"/>
    </font>
    <font>
      <sz val="11"/>
      <color rgb="FF3F3F76"/>
      <name val="Calibri"/>
      <family val="2"/>
      <scheme val="minor"/>
    </font>
    <font>
      <b/>
      <u/>
      <sz val="16"/>
      <color theme="1"/>
      <name val="Calibri"/>
      <family val="2"/>
      <scheme val="minor"/>
    </font>
    <font>
      <b/>
      <sz val="11"/>
      <color rgb="FFFF0000"/>
      <name val="Calibri"/>
      <family val="2"/>
      <scheme val="minor"/>
    </font>
    <font>
      <sz val="11"/>
      <color theme="1"/>
      <name val="Calibri"/>
      <family val="2"/>
      <scheme val="minor"/>
    </font>
    <font>
      <sz val="11"/>
      <name val="Calibri"/>
      <family val="2"/>
      <scheme val="minor"/>
    </font>
    <font>
      <b/>
      <sz val="16"/>
      <color rgb="FFFF0000"/>
      <name val="Calibri"/>
      <family val="2"/>
      <scheme val="minor"/>
    </font>
    <font>
      <sz val="11"/>
      <color theme="10"/>
      <name val="Calibri"/>
      <family val="2"/>
      <scheme val="minor"/>
    </font>
    <font>
      <sz val="11"/>
      <color rgb="FF0070C0"/>
      <name val="Calibri"/>
      <family val="2"/>
      <scheme val="minor"/>
    </font>
    <font>
      <i/>
      <sz val="11"/>
      <name val="Calibri"/>
      <family val="2"/>
      <scheme val="minor"/>
    </font>
    <font>
      <b/>
      <sz val="14"/>
      <name val="Calibri"/>
      <family val="2"/>
      <scheme val="minor"/>
    </font>
    <font>
      <b/>
      <sz val="11"/>
      <color theme="1"/>
      <name val="Calibri"/>
      <family val="2"/>
      <scheme val="minor"/>
    </font>
    <font>
      <sz val="11"/>
      <color rgb="FFFF0000"/>
      <name val="Calibri"/>
      <family val="2"/>
      <scheme val="minor"/>
    </font>
    <font>
      <b/>
      <u/>
      <sz val="11"/>
      <color theme="1"/>
      <name val="Calibri"/>
      <family val="2"/>
      <scheme val="minor"/>
    </font>
    <font>
      <i/>
      <sz val="11"/>
      <color theme="1"/>
      <name val="Calibri"/>
      <family val="2"/>
      <scheme val="minor"/>
    </font>
    <font>
      <i/>
      <sz val="11"/>
      <color rgb="FFFF0000"/>
      <name val="Calibri"/>
      <family val="2"/>
      <scheme val="minor"/>
    </font>
    <font>
      <b/>
      <u/>
      <sz val="11"/>
      <color rgb="FFFF0000"/>
      <name val="Calibri"/>
      <family val="2"/>
      <scheme val="minor"/>
    </font>
  </fonts>
  <fills count="6">
    <fill>
      <patternFill patternType="none"/>
    </fill>
    <fill>
      <patternFill patternType="gray125"/>
    </fill>
    <fill>
      <patternFill patternType="solid">
        <fgColor rgb="FFFFCC99"/>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9" tint="0.79998168889431442"/>
        <bgColor indexed="64"/>
      </patternFill>
    </fill>
  </fills>
  <borders count="12">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s>
  <cellStyleXfs count="12">
    <xf numFmtId="0" fontId="0" fillId="0" borderId="0"/>
    <xf numFmtId="0" fontId="1" fillId="2" borderId="1" applyNumberFormat="0" applyAlignment="0" applyProtection="0"/>
    <xf numFmtId="0" fontId="3" fillId="4" borderId="0"/>
    <xf numFmtId="0" fontId="6" fillId="3" borderId="0"/>
    <xf numFmtId="0" fontId="4" fillId="3" borderId="0"/>
    <xf numFmtId="0" fontId="9" fillId="3" borderId="0"/>
    <xf numFmtId="0" fontId="10" fillId="3" borderId="10" applyBorder="0"/>
    <xf numFmtId="0" fontId="8" fillId="4" borderId="0">
      <protection locked="0"/>
    </xf>
    <xf numFmtId="0" fontId="2" fillId="3" borderId="0"/>
    <xf numFmtId="0" fontId="7" fillId="3" borderId="0"/>
    <xf numFmtId="44" fontId="4" fillId="0" borderId="0" applyFont="0" applyFill="0" applyBorder="0" applyAlignment="0" applyProtection="0"/>
    <xf numFmtId="0" fontId="5" fillId="4" borderId="0"/>
  </cellStyleXfs>
  <cellXfs count="79">
    <xf numFmtId="0" fontId="0" fillId="0" borderId="0" xfId="0"/>
    <xf numFmtId="0" fontId="8" fillId="4" borderId="0" xfId="7" applyBorder="1" applyProtection="1">
      <protection locked="0"/>
    </xf>
    <xf numFmtId="164" fontId="8" fillId="4" borderId="0" xfId="7" applyNumberFormat="1" applyBorder="1" applyProtection="1">
      <protection locked="0"/>
    </xf>
    <xf numFmtId="165" fontId="8" fillId="4" borderId="0" xfId="7" applyNumberFormat="1" applyBorder="1" applyProtection="1">
      <protection locked="0"/>
    </xf>
    <xf numFmtId="0" fontId="8" fillId="4" borderId="0" xfId="7" applyNumberFormat="1" applyBorder="1" applyProtection="1">
      <protection locked="0"/>
    </xf>
    <xf numFmtId="4" fontId="8" fillId="4" borderId="0" xfId="7" applyNumberFormat="1" applyBorder="1" applyAlignment="1" applyProtection="1">
      <alignment horizontal="right"/>
      <protection locked="0"/>
    </xf>
    <xf numFmtId="4" fontId="8" fillId="4" borderId="11" xfId="7" applyNumberFormat="1" applyBorder="1" applyAlignment="1" applyProtection="1">
      <alignment horizontal="right"/>
      <protection locked="0"/>
    </xf>
    <xf numFmtId="0" fontId="8" fillId="4" borderId="11" xfId="7" applyBorder="1" applyProtection="1">
      <protection locked="0"/>
    </xf>
    <xf numFmtId="164" fontId="8" fillId="4" borderId="11" xfId="7" applyNumberFormat="1" applyBorder="1" applyProtection="1">
      <protection locked="0"/>
    </xf>
    <xf numFmtId="0" fontId="11" fillId="0" borderId="0" xfId="0" applyFont="1" applyProtection="1"/>
    <xf numFmtId="0" fontId="0" fillId="0" borderId="0" xfId="0" applyProtection="1"/>
    <xf numFmtId="0" fontId="0" fillId="0" borderId="0" xfId="0" applyFont="1" applyProtection="1"/>
    <xf numFmtId="0" fontId="4" fillId="3" borderId="2" xfId="4" applyBorder="1" applyProtection="1"/>
    <xf numFmtId="0" fontId="2" fillId="3" borderId="3" xfId="8" applyBorder="1" applyProtection="1"/>
    <xf numFmtId="0" fontId="4" fillId="3" borderId="3" xfId="4" applyBorder="1" applyProtection="1"/>
    <xf numFmtId="0" fontId="4" fillId="3" borderId="4" xfId="4" applyBorder="1" applyProtection="1"/>
    <xf numFmtId="0" fontId="4" fillId="3" borderId="5" xfId="4" applyBorder="1" applyProtection="1"/>
    <xf numFmtId="0" fontId="6" fillId="3" borderId="0" xfId="3" applyBorder="1" applyProtection="1"/>
    <xf numFmtId="0" fontId="4" fillId="3" borderId="0" xfId="4" applyBorder="1" applyProtection="1"/>
    <xf numFmtId="0" fontId="4" fillId="3" borderId="6" xfId="4" applyBorder="1" applyProtection="1"/>
    <xf numFmtId="0" fontId="10" fillId="3" borderId="0" xfId="6" applyBorder="1" applyAlignment="1" applyProtection="1">
      <alignment horizontal="right"/>
    </xf>
    <xf numFmtId="0" fontId="13" fillId="4" borderId="0" xfId="0" applyFont="1" applyFill="1" applyProtection="1"/>
    <xf numFmtId="0" fontId="0" fillId="4" borderId="0" xfId="0" applyFill="1" applyProtection="1"/>
    <xf numFmtId="0" fontId="5" fillId="4" borderId="0" xfId="11" applyBorder="1" applyProtection="1"/>
    <xf numFmtId="0" fontId="5" fillId="4" borderId="11" xfId="11" applyBorder="1" applyProtection="1"/>
    <xf numFmtId="0" fontId="15" fillId="3" borderId="6" xfId="5" applyFont="1" applyBorder="1" applyProtection="1"/>
    <xf numFmtId="0" fontId="0" fillId="5" borderId="0" xfId="0" applyFill="1" applyProtection="1"/>
    <xf numFmtId="0" fontId="5" fillId="5" borderId="0" xfId="11" applyFont="1" applyFill="1" applyBorder="1" applyProtection="1"/>
    <xf numFmtId="0" fontId="0" fillId="5" borderId="0" xfId="0" applyFont="1" applyFill="1" applyProtection="1"/>
    <xf numFmtId="0" fontId="9" fillId="4" borderId="0" xfId="11" applyFont="1" applyBorder="1" applyProtection="1"/>
    <xf numFmtId="0" fontId="14" fillId="3" borderId="6" xfId="4" applyFont="1" applyBorder="1" applyProtection="1"/>
    <xf numFmtId="0" fontId="9" fillId="3" borderId="6" xfId="5" applyFont="1" applyBorder="1" applyProtection="1"/>
    <xf numFmtId="0" fontId="9" fillId="3" borderId="6" xfId="5" applyBorder="1" applyProtection="1"/>
    <xf numFmtId="164" fontId="0" fillId="5" borderId="0" xfId="0" applyNumberFormat="1" applyFill="1" applyProtection="1"/>
    <xf numFmtId="0" fontId="0" fillId="3" borderId="0" xfId="0" applyFill="1" applyProtection="1"/>
    <xf numFmtId="0" fontId="9" fillId="4" borderId="11" xfId="11" applyFont="1" applyBorder="1" applyProtection="1"/>
    <xf numFmtId="164" fontId="9" fillId="4" borderId="0" xfId="11" applyNumberFormat="1" applyFont="1" applyBorder="1" applyProtection="1"/>
    <xf numFmtId="0" fontId="0" fillId="4" borderId="2" xfId="4" applyFont="1" applyFill="1" applyBorder="1" applyProtection="1"/>
    <xf numFmtId="0" fontId="0" fillId="4" borderId="5" xfId="4" applyFont="1" applyFill="1" applyBorder="1" applyProtection="1"/>
    <xf numFmtId="164" fontId="3" fillId="4" borderId="0" xfId="6" applyNumberFormat="1" applyFont="1" applyFill="1" applyBorder="1" applyAlignment="1" applyProtection="1">
      <alignment horizontal="right"/>
    </xf>
    <xf numFmtId="10" fontId="3" fillId="4" borderId="6" xfId="6" applyNumberFormat="1" applyFont="1" applyFill="1" applyBorder="1" applyAlignment="1" applyProtection="1">
      <alignment horizontal="right"/>
    </xf>
    <xf numFmtId="0" fontId="13" fillId="4" borderId="5" xfId="4" applyFont="1" applyFill="1" applyBorder="1" applyProtection="1"/>
    <xf numFmtId="0" fontId="16" fillId="4" borderId="0" xfId="4" applyFont="1" applyFill="1" applyBorder="1" applyProtection="1"/>
    <xf numFmtId="0" fontId="3" fillId="4" borderId="6" xfId="6" applyFont="1" applyFill="1" applyBorder="1" applyAlignment="1" applyProtection="1">
      <alignment horizontal="right"/>
    </xf>
    <xf numFmtId="10" fontId="3" fillId="4" borderId="0" xfId="6" applyNumberFormat="1" applyFont="1" applyFill="1" applyBorder="1" applyAlignment="1" applyProtection="1">
      <alignment horizontal="right"/>
    </xf>
    <xf numFmtId="0" fontId="12" fillId="3" borderId="6" xfId="4" applyFont="1" applyBorder="1" applyProtection="1"/>
    <xf numFmtId="0" fontId="12" fillId="0" borderId="0" xfId="0" applyFont="1" applyProtection="1"/>
    <xf numFmtId="0" fontId="4" fillId="3" borderId="7" xfId="4" applyBorder="1" applyProtection="1"/>
    <xf numFmtId="0" fontId="7" fillId="3" borderId="8" xfId="9" applyBorder="1" applyProtection="1"/>
    <xf numFmtId="0" fontId="4" fillId="3" borderId="8" xfId="4" applyBorder="1" applyProtection="1"/>
    <xf numFmtId="0" fontId="7" fillId="3" borderId="9" xfId="9" applyBorder="1" applyProtection="1"/>
    <xf numFmtId="10" fontId="3" fillId="4" borderId="0" xfId="4" applyNumberFormat="1" applyFont="1" applyFill="1" applyBorder="1" applyProtection="1"/>
    <xf numFmtId="166" fontId="3" fillId="4" borderId="0" xfId="0" applyNumberFormat="1" applyFont="1" applyFill="1" applyBorder="1" applyProtection="1"/>
    <xf numFmtId="166" fontId="3" fillId="4" borderId="6" xfId="0" applyNumberFormat="1" applyFont="1" applyFill="1" applyBorder="1" applyProtection="1"/>
    <xf numFmtId="166" fontId="3" fillId="4" borderId="0" xfId="4" applyNumberFormat="1" applyFont="1" applyFill="1" applyBorder="1" applyProtection="1"/>
    <xf numFmtId="166" fontId="3" fillId="4" borderId="6" xfId="4" applyNumberFormat="1" applyFont="1" applyFill="1" applyBorder="1" applyProtection="1"/>
    <xf numFmtId="166" fontId="3" fillId="4" borderId="6" xfId="6" applyNumberFormat="1" applyFont="1" applyFill="1" applyBorder="1" applyAlignment="1" applyProtection="1">
      <alignment horizontal="right"/>
    </xf>
    <xf numFmtId="0" fontId="11" fillId="5" borderId="2" xfId="0" applyFont="1" applyFill="1" applyBorder="1" applyAlignment="1" applyProtection="1">
      <alignment horizontal="center" vertical="top" wrapText="1"/>
    </xf>
    <xf numFmtId="0" fontId="11" fillId="5" borderId="3" xfId="0" applyFont="1" applyFill="1" applyBorder="1" applyAlignment="1" applyProtection="1">
      <alignment horizontal="center" vertical="top"/>
    </xf>
    <xf numFmtId="0" fontId="11" fillId="5" borderId="4" xfId="0" applyFont="1" applyFill="1" applyBorder="1" applyAlignment="1" applyProtection="1">
      <alignment horizontal="center" vertical="top"/>
    </xf>
    <xf numFmtId="0" fontId="11" fillId="5" borderId="5" xfId="0" applyFont="1" applyFill="1" applyBorder="1" applyAlignment="1" applyProtection="1">
      <alignment horizontal="center" vertical="top"/>
    </xf>
    <xf numFmtId="0" fontId="11" fillId="5" borderId="0" xfId="0" applyFont="1" applyFill="1" applyBorder="1" applyAlignment="1" applyProtection="1">
      <alignment horizontal="center" vertical="top"/>
    </xf>
    <xf numFmtId="0" fontId="11" fillId="5" borderId="6" xfId="0" applyFont="1" applyFill="1" applyBorder="1" applyAlignment="1" applyProtection="1">
      <alignment horizontal="center" vertical="top"/>
    </xf>
    <xf numFmtId="0" fontId="11" fillId="5" borderId="7" xfId="0" applyFont="1" applyFill="1" applyBorder="1" applyAlignment="1" applyProtection="1">
      <alignment horizontal="center" vertical="top"/>
    </xf>
    <xf numFmtId="0" fontId="11" fillId="5" borderId="8" xfId="0" applyFont="1" applyFill="1" applyBorder="1" applyAlignment="1" applyProtection="1">
      <alignment horizontal="center" vertical="top"/>
    </xf>
    <xf numFmtId="0" fontId="11" fillId="5" borderId="9" xfId="0" applyFont="1" applyFill="1" applyBorder="1" applyAlignment="1" applyProtection="1">
      <alignment horizontal="center" vertical="top"/>
    </xf>
    <xf numFmtId="0" fontId="11" fillId="0" borderId="0" xfId="0" applyFont="1" applyFill="1" applyBorder="1" applyProtection="1"/>
    <xf numFmtId="0" fontId="0" fillId="0" borderId="0" xfId="0" applyFill="1" applyBorder="1" applyProtection="1"/>
    <xf numFmtId="0" fontId="0" fillId="0" borderId="0" xfId="0" applyFill="1" applyProtection="1"/>
    <xf numFmtId="0" fontId="0" fillId="4" borderId="7" xfId="4" applyFont="1" applyFill="1" applyBorder="1" applyProtection="1"/>
    <xf numFmtId="166" fontId="3" fillId="4" borderId="8" xfId="0" applyNumberFormat="1" applyFont="1" applyFill="1" applyBorder="1" applyProtection="1"/>
    <xf numFmtId="166" fontId="3" fillId="4" borderId="9" xfId="0" applyNumberFormat="1" applyFont="1" applyFill="1" applyBorder="1" applyProtection="1"/>
    <xf numFmtId="0" fontId="13" fillId="4" borderId="3" xfId="4" applyFont="1" applyFill="1" applyBorder="1" applyAlignment="1" applyProtection="1">
      <alignment horizontal="right"/>
    </xf>
    <xf numFmtId="0" fontId="13" fillId="4" borderId="4" xfId="0" applyFont="1" applyFill="1" applyBorder="1" applyAlignment="1" applyProtection="1">
      <alignment horizontal="right"/>
    </xf>
    <xf numFmtId="164" fontId="8" fillId="4" borderId="0" xfId="7" applyNumberFormat="1" applyFont="1" applyBorder="1" applyProtection="1">
      <protection locked="0"/>
    </xf>
    <xf numFmtId="0" fontId="14" fillId="4" borderId="0" xfId="0" applyFont="1" applyFill="1" applyProtection="1">
      <protection locked="0"/>
    </xf>
    <xf numFmtId="0" fontId="9" fillId="4" borderId="0" xfId="11" applyFont="1" applyBorder="1" applyProtection="1">
      <protection locked="0"/>
    </xf>
    <xf numFmtId="0" fontId="14" fillId="4" borderId="11" xfId="0" applyFont="1" applyFill="1" applyBorder="1" applyProtection="1">
      <protection locked="0"/>
    </xf>
    <xf numFmtId="164" fontId="9" fillId="4" borderId="0" xfId="11" applyNumberFormat="1" applyFont="1" applyBorder="1" applyProtection="1">
      <protection locked="0"/>
    </xf>
  </cellXfs>
  <cellStyles count="12">
    <cellStyle name="Background" xfId="4"/>
    <cellStyle name="Comment" xfId="5"/>
    <cellStyle name="Currency" xfId="10" builtinId="4" customBuiltin="1"/>
    <cellStyle name="Input" xfId="1" builtinId="20" hidden="1"/>
    <cellStyle name="Inputs" xfId="7"/>
    <cellStyle name="markets" xfId="9"/>
    <cellStyle name="Normal" xfId="0" builtinId="0"/>
    <cellStyle name="Question" xfId="3"/>
    <cellStyle name="Results" xfId="2"/>
    <cellStyle name="Subheadings" xfId="6"/>
    <cellStyle name="Tables" xfId="11"/>
    <cellStyle name="Titles" xfId="8"/>
  </cellStyles>
  <dxfs count="5">
    <dxf>
      <numFmt numFmtId="0" formatCode="General"/>
    </dxf>
    <dxf>
      <font>
        <strike/>
        <color theme="3" tint="0.79998168889431442"/>
      </font>
    </dxf>
    <dxf>
      <numFmt numFmtId="0" formatCode="General"/>
    </dxf>
    <dxf>
      <font>
        <b val="0"/>
        <i/>
        <strike/>
        <color theme="3" tint="0.79998168889431442"/>
      </font>
    </dxf>
    <dxf>
      <font>
        <b val="0"/>
        <i/>
        <strike/>
        <color theme="3" tint="0.79998168889431442"/>
      </font>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arkets-internation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tabSelected="1" zoomScaleNormal="100" workbookViewId="0">
      <selection activeCell="E10" sqref="E10"/>
    </sheetView>
  </sheetViews>
  <sheetFormatPr defaultRowHeight="15" x14ac:dyDescent="0.25"/>
  <cols>
    <col min="1" max="2" width="2.85546875" style="10" customWidth="1"/>
    <col min="3" max="3" width="65.7109375" style="10" customWidth="1"/>
    <col min="4" max="4" width="18.28515625" style="10" customWidth="1"/>
    <col min="5" max="5" width="17.7109375" style="10" customWidth="1"/>
    <col min="6" max="6" width="1.85546875" style="10" customWidth="1"/>
    <col min="7" max="7" width="29.5703125" style="10" customWidth="1"/>
    <col min="8" max="8" width="2.5703125" style="10" customWidth="1"/>
    <col min="9" max="9" width="33.42578125" style="10" customWidth="1"/>
    <col min="10" max="10" width="11.28515625" style="10" customWidth="1"/>
    <col min="11" max="16384" width="9.140625" style="10"/>
  </cols>
  <sheetData>
    <row r="1" spans="1:10" x14ac:dyDescent="0.25">
      <c r="A1" s="9"/>
      <c r="B1" s="57" t="s">
        <v>4</v>
      </c>
      <c r="C1" s="58"/>
      <c r="D1" s="58"/>
      <c r="E1" s="58"/>
      <c r="F1" s="58"/>
      <c r="G1" s="59"/>
    </row>
    <row r="2" spans="1:10" x14ac:dyDescent="0.25">
      <c r="A2" s="9"/>
      <c r="B2" s="60"/>
      <c r="C2" s="61"/>
      <c r="D2" s="61"/>
      <c r="E2" s="61"/>
      <c r="F2" s="61"/>
      <c r="G2" s="62"/>
      <c r="I2" s="66"/>
      <c r="J2" s="67"/>
    </row>
    <row r="3" spans="1:10" x14ac:dyDescent="0.25">
      <c r="A3" s="9"/>
      <c r="B3" s="60"/>
      <c r="C3" s="61"/>
      <c r="D3" s="61"/>
      <c r="E3" s="61"/>
      <c r="F3" s="61"/>
      <c r="G3" s="62"/>
      <c r="I3" s="67"/>
      <c r="J3" s="67"/>
    </row>
    <row r="4" spans="1:10" ht="15.75" thickBot="1" x14ac:dyDescent="0.3">
      <c r="A4" s="9"/>
      <c r="B4" s="63"/>
      <c r="C4" s="64"/>
      <c r="D4" s="64"/>
      <c r="E4" s="64"/>
      <c r="F4" s="64"/>
      <c r="G4" s="65"/>
      <c r="I4" s="67"/>
      <c r="J4" s="67"/>
    </row>
    <row r="5" spans="1:10" ht="15.75" thickBot="1" x14ac:dyDescent="0.3">
      <c r="I5" s="67"/>
      <c r="J5" s="67"/>
    </row>
    <row r="6" spans="1:10" s="11" customFormat="1" ht="21" x14ac:dyDescent="0.35">
      <c r="B6" s="12"/>
      <c r="C6" s="13" t="s">
        <v>47</v>
      </c>
      <c r="D6" s="13"/>
      <c r="E6" s="14"/>
      <c r="F6" s="14"/>
      <c r="G6" s="15"/>
      <c r="H6" s="10"/>
      <c r="I6" s="26" t="s">
        <v>45</v>
      </c>
      <c r="J6" s="26"/>
    </row>
    <row r="7" spans="1:10" s="11" customFormat="1" ht="21" x14ac:dyDescent="0.35">
      <c r="B7" s="16"/>
      <c r="C7" s="17" t="s">
        <v>12</v>
      </c>
      <c r="D7" s="17"/>
      <c r="E7" s="18"/>
      <c r="F7" s="18"/>
      <c r="G7" s="19"/>
      <c r="H7" s="10"/>
      <c r="I7" s="27" t="s">
        <v>43</v>
      </c>
      <c r="J7" s="28">
        <f>IF(E10="dates",E19-E18,E18)</f>
        <v>91</v>
      </c>
    </row>
    <row r="8" spans="1:10" ht="18.75" x14ac:dyDescent="0.3">
      <c r="B8" s="16"/>
      <c r="C8" s="18"/>
      <c r="D8" s="18"/>
      <c r="E8" s="20" t="s">
        <v>0</v>
      </c>
      <c r="F8" s="18"/>
      <c r="G8" s="19"/>
      <c r="I8" s="26" t="s">
        <v>36</v>
      </c>
      <c r="J8" s="26">
        <f>J7/365</f>
        <v>0.24931506849315069</v>
      </c>
    </row>
    <row r="9" spans="1:10" x14ac:dyDescent="0.25">
      <c r="B9" s="16"/>
      <c r="C9" s="21" t="s">
        <v>13</v>
      </c>
      <c r="D9" s="21"/>
      <c r="E9" s="22"/>
      <c r="F9" s="18"/>
      <c r="G9" s="19"/>
      <c r="I9" s="28" t="s">
        <v>44</v>
      </c>
      <c r="J9" s="28">
        <f>IF(E10="dates",E22-E21,E21)</f>
        <v>93</v>
      </c>
    </row>
    <row r="10" spans="1:10" x14ac:dyDescent="0.25">
      <c r="B10" s="16"/>
      <c r="C10" s="23" t="s">
        <v>14</v>
      </c>
      <c r="D10" s="23"/>
      <c r="E10" s="5" t="s">
        <v>48</v>
      </c>
      <c r="F10" s="18"/>
      <c r="G10" s="19"/>
      <c r="I10" s="28" t="s">
        <v>35</v>
      </c>
      <c r="J10" s="26">
        <f>J9/365</f>
        <v>0.25479452054794521</v>
      </c>
    </row>
    <row r="11" spans="1:10" x14ac:dyDescent="0.25">
      <c r="B11" s="16"/>
      <c r="C11" s="23" t="s">
        <v>15</v>
      </c>
      <c r="D11" s="23"/>
      <c r="E11" s="5" t="s">
        <v>50</v>
      </c>
      <c r="F11" s="18"/>
      <c r="G11" s="19"/>
      <c r="I11" s="26" t="s">
        <v>41</v>
      </c>
      <c r="J11" s="33">
        <f>IF(E11="continuous",E24,E26)</f>
        <v>4.5361842196892994E-2</v>
      </c>
    </row>
    <row r="12" spans="1:10" x14ac:dyDescent="0.25">
      <c r="B12" s="16"/>
      <c r="C12" s="24" t="s">
        <v>40</v>
      </c>
      <c r="D12" s="24"/>
      <c r="E12" s="6" t="s">
        <v>49</v>
      </c>
      <c r="F12" s="18"/>
      <c r="G12" s="19"/>
      <c r="I12" s="26" t="s">
        <v>42</v>
      </c>
      <c r="J12" s="33">
        <f>IF(E11="continuous",E27,E29)</f>
        <v>6.5355586051218717E-2</v>
      </c>
    </row>
    <row r="13" spans="1:10" x14ac:dyDescent="0.25">
      <c r="B13" s="16"/>
      <c r="C13" s="23" t="s">
        <v>5</v>
      </c>
      <c r="D13" s="23"/>
      <c r="E13" s="4">
        <v>0.95</v>
      </c>
      <c r="F13" s="18"/>
      <c r="G13" s="25"/>
      <c r="I13" s="26" t="s">
        <v>34</v>
      </c>
      <c r="J13" s="26">
        <f>IF(E12="input",E16,E14*EXP((J12-J11)*u))</f>
        <v>0.96499999999999997</v>
      </c>
    </row>
    <row r="14" spans="1:10" x14ac:dyDescent="0.25">
      <c r="B14" s="16"/>
      <c r="C14" s="23" t="s">
        <v>6</v>
      </c>
      <c r="D14" s="23"/>
      <c r="E14" s="1">
        <v>0.96</v>
      </c>
      <c r="F14" s="18"/>
      <c r="G14" s="19"/>
      <c r="I14" s="26" t="s">
        <v>10</v>
      </c>
      <c r="J14" s="26">
        <f>(LN(F/k)+0.5*v^2*t)/(v*t^0.5)</f>
        <v>0.37108296529781837</v>
      </c>
    </row>
    <row r="15" spans="1:10" x14ac:dyDescent="0.25">
      <c r="B15" s="16"/>
      <c r="C15" s="29" t="s">
        <v>46</v>
      </c>
      <c r="D15" s="23"/>
      <c r="E15" s="75">
        <f>E14*EXP((J12-J11)*J9/365)</f>
        <v>0.96490300259483519</v>
      </c>
      <c r="F15" s="18"/>
      <c r="G15" s="30" t="str">
        <f>IF(E12="input","This will be ignored","")</f>
        <v>This will be ignored</v>
      </c>
      <c r="I15" s="26" t="s">
        <v>11</v>
      </c>
      <c r="J15" s="26">
        <f>(LN(F/k)-0.5*v^2*t)/(v*t^0.5)</f>
        <v>0.32614465141317733</v>
      </c>
    </row>
    <row r="16" spans="1:10" x14ac:dyDescent="0.25">
      <c r="B16" s="16"/>
      <c r="C16" s="24" t="str">
        <f>IF(E12="input","Forward outright input by you","")</f>
        <v>Forward outright input by you</v>
      </c>
      <c r="D16" s="24"/>
      <c r="E16" s="7">
        <v>0.96499999999999997</v>
      </c>
      <c r="F16" s="18"/>
      <c r="G16" s="19"/>
      <c r="I16" s="26" t="s">
        <v>31</v>
      </c>
      <c r="J16" s="26">
        <f>_xlfn.NORM.S.DIST(d1_,TRUE)</f>
        <v>0.64471213080209944</v>
      </c>
    </row>
    <row r="17" spans="2:10" x14ac:dyDescent="0.25">
      <c r="B17" s="16"/>
      <c r="C17" s="24" t="s">
        <v>7</v>
      </c>
      <c r="D17" s="24"/>
      <c r="E17" s="8">
        <v>0.09</v>
      </c>
      <c r="F17" s="18"/>
      <c r="G17" s="31" t="s">
        <v>1</v>
      </c>
      <c r="I17" s="26" t="s">
        <v>32</v>
      </c>
      <c r="J17" s="26">
        <f>_xlfn.NORM.S.DIST(d2_,TRUE)</f>
        <v>0.62784254229403658</v>
      </c>
    </row>
    <row r="18" spans="2:10" x14ac:dyDescent="0.25">
      <c r="B18" s="16"/>
      <c r="C18" s="23" t="str">
        <f>IF(E10="dates","Date now","Number of days until expiry")</f>
        <v>Number of days until expiry</v>
      </c>
      <c r="D18" s="23"/>
      <c r="E18" s="3">
        <v>91</v>
      </c>
      <c r="F18" s="18"/>
      <c r="G18" s="32" t="str">
        <f>IF(E10="dates","e.g. enter '23-2-12'","")</f>
        <v/>
      </c>
      <c r="I18" s="26" t="s">
        <v>8</v>
      </c>
      <c r="J18" s="26">
        <f>1-J16</f>
        <v>0.35528786919790056</v>
      </c>
    </row>
    <row r="19" spans="2:10" x14ac:dyDescent="0.25">
      <c r="B19" s="16"/>
      <c r="C19" s="23" t="str">
        <f>IF(E10="dates","Expiry date","")</f>
        <v/>
      </c>
      <c r="D19" s="23"/>
      <c r="E19" s="3">
        <v>41106</v>
      </c>
      <c r="F19" s="18"/>
      <c r="G19" s="32" t="str">
        <f>IF(E10="dates","e.g. enter '23-2-12'","")</f>
        <v/>
      </c>
      <c r="I19" s="26" t="s">
        <v>9</v>
      </c>
      <c r="J19" s="26">
        <f>1-J17</f>
        <v>0.37215745770596342</v>
      </c>
    </row>
    <row r="20" spans="2:10" x14ac:dyDescent="0.25">
      <c r="B20" s="16"/>
      <c r="C20" s="29" t="str">
        <f>IF(E10="dates","    Number of days until expiry","")</f>
        <v/>
      </c>
      <c r="D20" s="29"/>
      <c r="E20" s="76" t="str">
        <f>IF(E10="dates",J7,"")</f>
        <v/>
      </c>
      <c r="F20" s="34"/>
      <c r="G20" s="31"/>
      <c r="I20" s="26" t="s">
        <v>33</v>
      </c>
      <c r="J20" s="26">
        <f>_xlfn.NORM.S.DIST(d1_,FALSE)</f>
        <v>0.37239885182086124</v>
      </c>
    </row>
    <row r="21" spans="2:10" x14ac:dyDescent="0.25">
      <c r="B21" s="16"/>
      <c r="C21" s="23" t="str">
        <f>IF(E10="dates","Spot value date now","Number of days from spot until forward value date")</f>
        <v>Number of days from spot until forward value date</v>
      </c>
      <c r="D21" s="23"/>
      <c r="E21" s="3">
        <v>93</v>
      </c>
      <c r="F21" s="18"/>
      <c r="G21" s="32" t="str">
        <f>IF(E10="dates","e.g. enter '23-2-12'","")</f>
        <v/>
      </c>
    </row>
    <row r="22" spans="2:10" x14ac:dyDescent="0.25">
      <c r="B22" s="16"/>
      <c r="C22" s="23" t="str">
        <f>IF(E10="dates","Value date if option is exercised","")</f>
        <v/>
      </c>
      <c r="D22" s="23"/>
      <c r="E22" s="3">
        <v>41106</v>
      </c>
      <c r="F22" s="18"/>
      <c r="G22" s="32" t="str">
        <f>IF(E10="dates","e.g. enter '23-2-12'","")</f>
        <v/>
      </c>
    </row>
    <row r="23" spans="2:10" x14ac:dyDescent="0.25">
      <c r="B23" s="16"/>
      <c r="C23" s="35" t="str">
        <f>IF(E10="dates","    Number of days from spot to forward value date","")</f>
        <v/>
      </c>
      <c r="D23" s="35"/>
      <c r="E23" s="77" t="str">
        <f>IF(E10="dates",J9,"")</f>
        <v/>
      </c>
      <c r="F23" s="18"/>
      <c r="G23" s="32"/>
    </row>
    <row r="24" spans="2:10" x14ac:dyDescent="0.25">
      <c r="B24" s="16"/>
      <c r="C24" s="23" t="str">
        <f>IF(E11="continuous","Interest rate for the base currency (continuously compounded, 365-day year)","'Normal' quoted base currency interest rate for "&amp;TEXT(J9,"#")&amp;" days")</f>
        <v>'Normal' quoted base currency interest rate for 93 days</v>
      </c>
      <c r="D24" s="23"/>
      <c r="E24" s="74">
        <v>4.4999999999999998E-2</v>
      </c>
      <c r="F24" s="18"/>
      <c r="G24" s="31" t="s">
        <v>1</v>
      </c>
    </row>
    <row r="25" spans="2:10" x14ac:dyDescent="0.25">
      <c r="B25" s="16"/>
      <c r="C25" s="23" t="s">
        <v>16</v>
      </c>
      <c r="D25" s="23"/>
      <c r="E25" s="4">
        <v>360</v>
      </c>
      <c r="F25" s="18"/>
      <c r="G25" s="31"/>
    </row>
    <row r="26" spans="2:10" x14ac:dyDescent="0.25">
      <c r="B26" s="16"/>
      <c r="C26" s="29" t="str">
        <f>IF(E11="continuous","    Equivalent 'normal' quoted base currency interest rate for "&amp;TEXT(J9,"#")&amp;" days","    Equivalent continuously compounded interest rate for the base currency (365-day year)")</f>
        <v xml:space="preserve">    Equivalent continuously compounded interest rate for the base currency (365-day year)</v>
      </c>
      <c r="D26" s="29"/>
      <c r="E26" s="78">
        <f>IF(E11="continuous",((EXP(E24*J9/365)-1)*(E25/J9)),LN(1+E24*J9/E25)*365/J9)</f>
        <v>4.5361842196892994E-2</v>
      </c>
      <c r="F26" s="18"/>
      <c r="G26" s="31"/>
    </row>
    <row r="27" spans="2:10" x14ac:dyDescent="0.25">
      <c r="B27" s="16"/>
      <c r="C27" s="23" t="str">
        <f>IF(E11="continuous","Interest rate for the counter currency (continuously compounded, 365-day year)","'Normal' quoted counter currency interest rate for "&amp;TEXT(J9,"#")&amp;" days")</f>
        <v>'Normal' quoted counter currency interest rate for 93 days</v>
      </c>
      <c r="D27" s="23"/>
      <c r="E27" s="2">
        <v>6.5000000000000002E-2</v>
      </c>
      <c r="F27" s="18"/>
      <c r="G27" s="31" t="s">
        <v>1</v>
      </c>
    </row>
    <row r="28" spans="2:10" x14ac:dyDescent="0.25">
      <c r="B28" s="16"/>
      <c r="C28" s="23" t="s">
        <v>24</v>
      </c>
      <c r="D28" s="23"/>
      <c r="E28" s="4">
        <v>360</v>
      </c>
      <c r="F28" s="18"/>
      <c r="G28" s="31"/>
      <c r="I28" s="68"/>
      <c r="J28" s="68"/>
    </row>
    <row r="29" spans="2:10" x14ac:dyDescent="0.25">
      <c r="B29" s="16"/>
      <c r="C29" s="29" t="str">
        <f>IF(E11="continuous","    Equivalent 'normal' counter currency interest rate for "&amp;TEXT(J9,"#")&amp;" days","    Equivalent continuously compounded interest rate for the counter currency (365-day year)")</f>
        <v xml:space="preserve">    Equivalent continuously compounded interest rate for the counter currency (365-day year)</v>
      </c>
      <c r="D29" s="29"/>
      <c r="E29" s="36">
        <f>IF(E11="continuous",(EXP(E27*J9/365)-1)*(E28/J9),LN(1+E27*J9/E28)*365/J9)</f>
        <v>6.5355586051218717E-2</v>
      </c>
      <c r="F29" s="18"/>
      <c r="G29" s="31"/>
    </row>
    <row r="30" spans="2:10" ht="19.5" thickBot="1" x14ac:dyDescent="0.35">
      <c r="B30" s="16"/>
      <c r="C30" s="18"/>
      <c r="D30" s="18"/>
      <c r="E30" s="20" t="s">
        <v>2</v>
      </c>
      <c r="F30" s="18"/>
      <c r="G30" s="19"/>
    </row>
    <row r="31" spans="2:10" x14ac:dyDescent="0.25">
      <c r="B31" s="16"/>
      <c r="C31" s="37"/>
      <c r="D31" s="72" t="s">
        <v>27</v>
      </c>
      <c r="E31" s="73" t="s">
        <v>28</v>
      </c>
      <c r="F31" s="18"/>
      <c r="G31" s="19"/>
      <c r="I31" s="68"/>
    </row>
    <row r="32" spans="2:10" x14ac:dyDescent="0.25">
      <c r="B32" s="16"/>
      <c r="C32" s="38" t="s">
        <v>39</v>
      </c>
      <c r="D32" s="52">
        <f>(F*Nd1_-k*Nd2_)*EXP(-rr*u)</f>
        <v>2.5272424909748386E-2</v>
      </c>
      <c r="E32" s="53">
        <f>(-F*N__d1+k*N__d2)*EXP(-rr*u)</f>
        <v>1.0520140354570677E-2</v>
      </c>
      <c r="F32" s="18"/>
      <c r="G32" s="19"/>
    </row>
    <row r="33" spans="2:9" x14ac:dyDescent="0.25">
      <c r="B33" s="16"/>
      <c r="C33" s="38" t="s">
        <v>38</v>
      </c>
      <c r="D33" s="39">
        <f>D32/s</f>
        <v>2.6325442614321237E-2</v>
      </c>
      <c r="E33" s="40">
        <f>E32/s</f>
        <v>1.0958479536011123E-2</v>
      </c>
      <c r="F33" s="18"/>
      <c r="G33" s="19"/>
      <c r="I33" s="46"/>
    </row>
    <row r="34" spans="2:9" x14ac:dyDescent="0.25">
      <c r="B34" s="16"/>
      <c r="C34" s="41"/>
      <c r="D34" s="42"/>
      <c r="E34" s="43"/>
      <c r="F34" s="18"/>
      <c r="G34" s="19"/>
      <c r="I34" s="46"/>
    </row>
    <row r="35" spans="2:9" x14ac:dyDescent="0.25">
      <c r="B35" s="16"/>
      <c r="C35" s="38" t="s">
        <v>18</v>
      </c>
      <c r="D35" s="44">
        <f>Nd1_*EXP(-q*u)</f>
        <v>0.63730347787183927</v>
      </c>
      <c r="E35" s="40">
        <f>-N__d1*EXP(-q*u)</f>
        <v>-0.35120510979651604</v>
      </c>
      <c r="F35" s="18"/>
      <c r="G35" s="45"/>
      <c r="I35" s="46"/>
    </row>
    <row r="36" spans="2:9" x14ac:dyDescent="0.25">
      <c r="B36" s="16"/>
      <c r="C36" s="38" t="s">
        <v>19</v>
      </c>
      <c r="D36" s="54">
        <f>EXP(-q*u)*Pd1_/(s*v*t^0.5)</f>
        <v>8.5329808992847571</v>
      </c>
      <c r="E36" s="55">
        <f>EXP(-q*u)*Pd1_/(s*v*t^0.5)</f>
        <v>8.5329808992847571</v>
      </c>
      <c r="F36" s="18"/>
      <c r="G36" s="19"/>
      <c r="I36" s="46"/>
    </row>
    <row r="37" spans="2:9" x14ac:dyDescent="0.25">
      <c r="B37" s="16"/>
      <c r="C37" s="38" t="s">
        <v>20</v>
      </c>
      <c r="D37" s="51">
        <f>Nd1_</f>
        <v>0.64471213080209944</v>
      </c>
      <c r="E37" s="40">
        <f>-N__d1</f>
        <v>-0.35528786919790056</v>
      </c>
      <c r="F37" s="18"/>
      <c r="G37" s="19"/>
    </row>
    <row r="38" spans="2:9" x14ac:dyDescent="0.25">
      <c r="B38" s="16"/>
      <c r="C38" s="38" t="s">
        <v>17</v>
      </c>
      <c r="D38" s="52">
        <f>s*EXP(-q*u)*Pd1_*t^0.5</f>
        <v>0.1764551251003699</v>
      </c>
      <c r="E38" s="53">
        <f>s*EXP(-q*u)*Pd1_*t^0.5</f>
        <v>0.1764551251003699</v>
      </c>
      <c r="F38" s="18"/>
      <c r="G38" s="19"/>
    </row>
    <row r="39" spans="2:9" x14ac:dyDescent="0.25">
      <c r="B39" s="16"/>
      <c r="C39" s="38" t="s">
        <v>37</v>
      </c>
      <c r="D39" s="52">
        <f>D38*0.01</f>
        <v>1.764551251003699E-3</v>
      </c>
      <c r="E39" s="53">
        <f>E38*0.01</f>
        <v>1.764551251003699E-3</v>
      </c>
      <c r="F39" s="18"/>
      <c r="G39" s="19"/>
      <c r="I39" s="46"/>
    </row>
    <row r="40" spans="2:9" x14ac:dyDescent="0.25">
      <c r="B40" s="16"/>
      <c r="C40" s="38" t="s">
        <v>29</v>
      </c>
      <c r="D40" s="54">
        <f>-EXP(-q*u)*s*Pd1_*v/(2*t^0.5)-rr*k*EXP(-rr*u)*Nd2_+q*s*EXP(-q*u)*Nd1_</f>
        <v>-4.2433905143462861E-2</v>
      </c>
      <c r="E40" s="55">
        <f>-EXP(-q*u)*s*Pd1_*v/(2*t^0.5)+rr*k*EXP(-rr*u)*N__d2-q*s*EXP(-q*u)*N__d1</f>
        <v>-2.4418386714113054E-2</v>
      </c>
      <c r="F40" s="18"/>
      <c r="G40" s="19"/>
    </row>
    <row r="41" spans="2:9" x14ac:dyDescent="0.25">
      <c r="B41" s="16"/>
      <c r="C41" s="38" t="s">
        <v>22</v>
      </c>
      <c r="D41" s="54">
        <f>D40/365</f>
        <v>-1.1625727436565167E-4</v>
      </c>
      <c r="E41" s="55">
        <f>E40/365</f>
        <v>-6.6899689627707002E-5</v>
      </c>
      <c r="F41" s="18"/>
      <c r="G41" s="19"/>
      <c r="I41" s="46"/>
    </row>
    <row r="42" spans="2:9" x14ac:dyDescent="0.25">
      <c r="B42" s="16"/>
      <c r="C42" s="38" t="s">
        <v>30</v>
      </c>
      <c r="D42" s="54">
        <f>-EXP(-q*u)*s*Pd1_*v/(2*t^0.5)-rr*k*EXP(-rr*u)*Nd2_+rr*s*EXP(-q*u)*Nd1_</f>
        <v>-3.0201505949183985E-2</v>
      </c>
      <c r="E42" s="55">
        <f>-EXP(-q*u)*s*Pd1_*v/(2*t^0.5)+rr*k*EXP(-rr*u)*N__d2-rr*s*EXP(-q*u)*N__d1</f>
        <v>-3.1159415519490859E-2</v>
      </c>
      <c r="F42" s="18"/>
      <c r="G42" s="19"/>
    </row>
    <row r="43" spans="2:9" x14ac:dyDescent="0.25">
      <c r="B43" s="16"/>
      <c r="C43" s="38" t="s">
        <v>22</v>
      </c>
      <c r="D43" s="54">
        <f>D42/365</f>
        <v>-8.2743851915572568E-5</v>
      </c>
      <c r="E43" s="55">
        <f>E42/365</f>
        <v>-8.5368261697235225E-5</v>
      </c>
      <c r="F43" s="18"/>
      <c r="G43" s="19"/>
    </row>
    <row r="44" spans="2:9" x14ac:dyDescent="0.25">
      <c r="B44" s="16"/>
      <c r="C44" s="38" t="s">
        <v>26</v>
      </c>
      <c r="D44" s="54">
        <f>k*t*EXP(-rr*u)*Nd2_</f>
        <v>0.14624832302245197</v>
      </c>
      <c r="E44" s="56">
        <f>-k*t*EXP(-rr*u)*N__d2</f>
        <v>-8.668957648350363E-2</v>
      </c>
      <c r="F44" s="18"/>
      <c r="G44" s="19"/>
    </row>
    <row r="45" spans="2:9" x14ac:dyDescent="0.25">
      <c r="B45" s="16"/>
      <c r="C45" s="38" t="s">
        <v>25</v>
      </c>
      <c r="D45" s="52">
        <f>D44*0.01</f>
        <v>1.4624832302245197E-3</v>
      </c>
      <c r="E45" s="53">
        <f>E44*0.01</f>
        <v>-8.6689576483503636E-4</v>
      </c>
      <c r="F45" s="18"/>
      <c r="G45" s="19"/>
      <c r="I45" s="46"/>
    </row>
    <row r="46" spans="2:9" x14ac:dyDescent="0.25">
      <c r="B46" s="16"/>
      <c r="C46" s="38" t="s">
        <v>21</v>
      </c>
      <c r="D46" s="54">
        <f>-s*t*EXP(-q*u)*Nd1_</f>
        <v>-0.15253378582707913</v>
      </c>
      <c r="E46" s="56">
        <f>s*t*EXP(-q*u)*N__d1</f>
        <v>8.4058296963900395E-2</v>
      </c>
      <c r="F46" s="18"/>
      <c r="G46" s="19"/>
      <c r="I46" s="46"/>
    </row>
    <row r="47" spans="2:9" ht="15.75" thickBot="1" x14ac:dyDescent="0.3">
      <c r="B47" s="16"/>
      <c r="C47" s="69" t="s">
        <v>23</v>
      </c>
      <c r="D47" s="70">
        <f>D46*0.01</f>
        <v>-1.5253378582707913E-3</v>
      </c>
      <c r="E47" s="71">
        <f>E46*0.01</f>
        <v>8.4058296963900395E-4</v>
      </c>
      <c r="F47" s="18"/>
      <c r="G47" s="19"/>
      <c r="I47" s="46"/>
    </row>
    <row r="48" spans="2:9" x14ac:dyDescent="0.25">
      <c r="B48" s="16"/>
      <c r="C48" s="18"/>
      <c r="D48" s="18"/>
      <c r="E48" s="18"/>
      <c r="F48" s="18"/>
      <c r="G48" s="19"/>
    </row>
    <row r="49" spans="2:7" ht="15.75" thickBot="1" x14ac:dyDescent="0.3">
      <c r="B49" s="47"/>
      <c r="C49" s="48" t="s">
        <v>3</v>
      </c>
      <c r="D49" s="48"/>
      <c r="E49" s="48"/>
      <c r="F49" s="49"/>
      <c r="G49" s="50"/>
    </row>
  </sheetData>
  <sheetProtection sheet="1" objects="1" scenarios="1" selectLockedCells="1"/>
  <mergeCells count="1">
    <mergeCell ref="B1:G4"/>
  </mergeCells>
  <conditionalFormatting sqref="E19">
    <cfRule type="expression" dxfId="4" priority="8">
      <formula>OR(E10="days")</formula>
    </cfRule>
  </conditionalFormatting>
  <conditionalFormatting sqref="E22">
    <cfRule type="expression" dxfId="3" priority="6">
      <formula>OR(E10="days")</formula>
    </cfRule>
  </conditionalFormatting>
  <conditionalFormatting sqref="E18">
    <cfRule type="expression" dxfId="2" priority="5">
      <formula>OR(E10="days")</formula>
    </cfRule>
  </conditionalFormatting>
  <conditionalFormatting sqref="E16">
    <cfRule type="expression" dxfId="1" priority="3">
      <formula>OR(E12="calculate")</formula>
    </cfRule>
  </conditionalFormatting>
  <conditionalFormatting sqref="E21">
    <cfRule type="expression" dxfId="0" priority="1">
      <formula>OR(E10="days")</formula>
    </cfRule>
  </conditionalFormatting>
  <dataValidations count="7">
    <dataValidation type="date" operator="greaterThanOrEqual" showInputMessage="1" showErrorMessage="1" errorTitle="Invalid date" error="The expiry date cannot be earlier than 'Date now'." sqref="E19">
      <formula1>E18</formula1>
    </dataValidation>
    <dataValidation type="list" errorStyle="warning" showInputMessage="1" showErrorMessage="1" error="Theyear basis should normally be 360 or 365" sqref="E28 E25">
      <formula1>"360,365"</formula1>
    </dataValidation>
    <dataValidation type="list" showInputMessage="1" showErrorMessage="1" errorTitle="Choose method of input" error="Please enter 'DATES' or 'DAYS'." sqref="E10">
      <formula1>"DATES, DAYS"</formula1>
    </dataValidation>
    <dataValidation type="list" showInputMessage="1" showErrorMessage="1" errorTitle="Interest rate input" error="Please enter 'CONTINUOUS' or 'NORMAL'." sqref="E11">
      <formula1>"CONTINUOUS, NORMAL"</formula1>
    </dataValidation>
    <dataValidation type="list" showInputMessage="1" showErrorMessage="1" errorTitle="Interest rate input" error="Please enter 'CALCULATE' or 'INPUT'." sqref="E12">
      <formula1>"CALCULATE, INPUT"</formula1>
    </dataValidation>
    <dataValidation type="date" operator="greaterThanOrEqual" allowBlank="1" showInputMessage="1" showErrorMessage="1" errorTitle="Invalid date" error="The value date cannot be earlier than Expiry date'." sqref="E22">
      <formula1>E19</formula1>
    </dataValidation>
    <dataValidation type="date" operator="greaterThanOrEqual" showInputMessage="1" showErrorMessage="1" errorTitle="Invalid date" error="The spot value date cannot be earlier than 'Date now'." sqref="E21">
      <formula1>E18</formula1>
    </dataValidation>
  </dataValidations>
  <hyperlinks>
    <hyperlink ref="C49" r:id="rId1" display="www.markets-international.com"/>
  </hyperlinks>
  <printOptions horizontalCentered="1"/>
  <pageMargins left="0" right="0" top="0.74803149606299213" bottom="0.74803149606299213" header="0.31496062992125984" footer="0.31496062992125984"/>
  <pageSetup paperSize="9" scale="7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17</vt:i4>
      </vt:variant>
    </vt:vector>
  </HeadingPairs>
  <TitlesOfParts>
    <vt:vector size="20" baseType="lpstr">
      <vt:lpstr>Sheet1</vt:lpstr>
      <vt:lpstr>Sheet2</vt:lpstr>
      <vt:lpstr>Sheet3</vt:lpstr>
      <vt:lpstr>d1_</vt:lpstr>
      <vt:lpstr>d2_</vt:lpstr>
      <vt:lpstr>F</vt:lpstr>
      <vt:lpstr>k</vt:lpstr>
      <vt:lpstr>N__d1</vt:lpstr>
      <vt:lpstr>N__d2</vt:lpstr>
      <vt:lpstr>Nd1_</vt:lpstr>
      <vt:lpstr>Nd2_</vt:lpstr>
      <vt:lpstr>Pd1_</vt:lpstr>
      <vt:lpstr>Pd2_</vt:lpstr>
      <vt:lpstr>Sheet1!Print_Area</vt:lpstr>
      <vt:lpstr>q</vt:lpstr>
      <vt:lpstr>rr</vt:lpstr>
      <vt:lpstr>s</vt:lpstr>
      <vt:lpstr>t</vt:lpstr>
      <vt:lpstr>u</vt:lpstr>
      <vt:lpstr>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dc:creator>
  <cp:lastModifiedBy>Bob</cp:lastModifiedBy>
  <cp:lastPrinted>2012-01-04T14:55:39Z</cp:lastPrinted>
  <dcterms:created xsi:type="dcterms:W3CDTF">2011-01-13T14:26:35Z</dcterms:created>
  <dcterms:modified xsi:type="dcterms:W3CDTF">2012-01-04T14:55:56Z</dcterms:modified>
</cp:coreProperties>
</file>